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_FilterDatabase" localSheetId="0" hidden="1">Sheet1!$A$8:$S$49</definedName>
  </definedNames>
  <calcPr calcId="144525"/>
</workbook>
</file>

<file path=xl/sharedStrings.xml><?xml version="1.0" encoding="utf-8"?>
<sst xmlns="http://schemas.openxmlformats.org/spreadsheetml/2006/main" count="215" uniqueCount="66">
  <si>
    <t>附件3：</t>
  </si>
  <si>
    <t>五华区2024年度项目支出绩效自评情况汇总表</t>
  </si>
  <si>
    <t>填报部门：昆明市五华区人民医院</t>
  </si>
  <si>
    <t>单位：万元</t>
  </si>
  <si>
    <t>序号</t>
  </si>
  <si>
    <t>项目名称</t>
  </si>
  <si>
    <t>项目单位</t>
  </si>
  <si>
    <t>项目资金预算数</t>
  </si>
  <si>
    <t>项目资金使用情况（执行数）</t>
  </si>
  <si>
    <t>项目资金结余情况</t>
  </si>
  <si>
    <t>自评分数</t>
  </si>
  <si>
    <t>自评等级</t>
  </si>
  <si>
    <t>备注（请注明项目属于区级项目/上级转移支付项目/其他资金项目）</t>
  </si>
  <si>
    <t>名称</t>
  </si>
  <si>
    <t>联系人及联系电话</t>
  </si>
  <si>
    <t>合计</t>
  </si>
  <si>
    <t>区级</t>
  </si>
  <si>
    <t>上级</t>
  </si>
  <si>
    <t>其他</t>
  </si>
  <si>
    <t>昆财社〔2023〕169号南博会专项经费</t>
  </si>
  <si>
    <t>昆明市五华区人民医院</t>
  </si>
  <si>
    <t>王媚 18313907213</t>
  </si>
  <si>
    <t>优</t>
  </si>
  <si>
    <t>区级项目</t>
  </si>
  <si>
    <t>建档立卡贫困人口家庭医生签约专项资金</t>
  </si>
  <si>
    <t>药品零差率销售补助专项资金</t>
  </si>
  <si>
    <t>看守所门诊专项经费</t>
  </si>
  <si>
    <t>卫生健康管理业务专项经费</t>
  </si>
  <si>
    <t>2024年从业体检工作专项资金</t>
  </si>
  <si>
    <t>昆财社〔2023〕211号医务人员临时性工作补助资金</t>
  </si>
  <si>
    <t>昆财社[2024]44号文新冠病毒感染过度期医务人员临时性工作补助资金</t>
  </si>
  <si>
    <t>上级转移支付</t>
  </si>
  <si>
    <t>昆财社〔2024〕39号2024年重大传染病防控（社会事务管理）中央补助资金</t>
  </si>
  <si>
    <t>良</t>
  </si>
  <si>
    <t>昆财社〔2023〕180号2023年重大传染病防控结算补助资金</t>
  </si>
  <si>
    <t>昆财社〔2024〕36号2024年医疗服务与保障能力提升（卫生健康人才培养培训）中央财政补助资金</t>
  </si>
  <si>
    <t>昆财社〔2024〕52号2024年卫生健康项目(基本民生)中央直达资金省级配套补助资金</t>
  </si>
  <si>
    <t>1昆财社〔2023〕68号2023年已脱贫贫困人口家庭医生签约服务市级补助资金</t>
  </si>
  <si>
    <t>昆财社【2023】111号2023年重大传染病防控中央补助资金</t>
  </si>
  <si>
    <t>昆财社[2023]8号2022年医疗卫生事业发展三年行动省级补助资金</t>
  </si>
  <si>
    <t>昆财社〔2024〕67号2024年医疗服务与保障能力提升（公立医院综合改革）中央补助资金</t>
  </si>
  <si>
    <t>昆财社〔2024〕127号2024年医疗服务与保障能力提升中央结算补助资金</t>
  </si>
  <si>
    <t>昆财社〔2023〕133号2023年医疗服务与保障能力提升（卫生健康人才培养）中央财政结算补助资金</t>
  </si>
  <si>
    <t>昆财社【2023】45号2023年医疗服务与保障能力提升卫生健康人才培养培训中央财政补助资金</t>
  </si>
  <si>
    <t>昆财社〔2024〕106号2024年第一批医疗卫生事业高质量发展三年行动计划省级补助资金</t>
  </si>
  <si>
    <t>昆财社〔2024〕39号2024年重大传染病防控（防艾经费）中央补助资金</t>
  </si>
  <si>
    <t>昆财教〔2023〕102号2023年上半年昆明市中小学体育比赛经费</t>
  </si>
  <si>
    <t>昆财社〔2023〕180号2023重大传染病防控防治艾滋病中央结算补助资金</t>
  </si>
  <si>
    <t>昆财社〔2024〕61号2024年已脱贫人口重点人群和农村低收入人群家庭医生签约服务省级补助资金</t>
  </si>
  <si>
    <t>1昆财社〔2023〕84号2023年脱贫人口重点人群和农村低收入人群家庭医生签约服务省级结算补助资金</t>
  </si>
  <si>
    <t>昆财社〔2024〕53号2024年脱贫人口重点、农村低收入人群家庭医生签约服务个人缴费市级补助资金</t>
  </si>
  <si>
    <t>昆财社〔2024〕143号2024年第二批医疗卫生事业高质量发展三年行动计划资金</t>
  </si>
  <si>
    <t>昆财社〔2024〕129号2024年脱贫人口重点人群和农村低收入人群家庭医生签约服务省级结算补助资金</t>
  </si>
  <si>
    <t>昆财社〔2024〕41号2024年国家基本公共卫生服务项目中央补助资金</t>
  </si>
  <si>
    <t>昆财社〔2024〕41号文2024年国家基本公共卫生服务项目中央补助资金</t>
  </si>
  <si>
    <t>昆财社【2023】111号中央补助重大传染病项目经费</t>
  </si>
  <si>
    <t>昆财社（2024）134号医务人员临时性工作补助经费</t>
  </si>
  <si>
    <t>昆财社〔2023〕8号县级医院薄弱专科建设专项资金</t>
  </si>
  <si>
    <t>医院运维项目资金</t>
  </si>
  <si>
    <t>其他项目</t>
  </si>
  <si>
    <t>药品及卫生材料采购项目资金</t>
  </si>
  <si>
    <t>新院区建设设备采购项目资金</t>
  </si>
  <si>
    <t>印刷服务采购项目资金</t>
  </si>
  <si>
    <t>总    计</t>
  </si>
  <si>
    <t>填报人：  王媚                                                联系电话：18313907213</t>
  </si>
  <si>
    <t>注：自评等级:划分为4档，100-90（含）分为优、90-80（含）分为良、80-60（含）分为中、60分以下为差。</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</si>
</sst>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b/>
      <sz val="11"/>
      <color theme="1"/>
      <name val="宋体"/>
      <charset val="134"/>
      <scheme val="minor"/>
    </font>
    <font>
      <sz val="10"/>
      <name val="宋体"/>
      <charset val="134"/>
    </font>
    <font>
      <sz val="18"/>
      <name val="方正小标宋_GBK"/>
      <charset val="134"/>
    </font>
    <font>
      <sz val="10"/>
      <name val="方正小标宋_GBK"/>
      <charset val="134"/>
    </font>
    <font>
      <b/>
      <sz val="10"/>
      <name val="宋体"/>
      <charset val="134"/>
    </font>
    <font>
      <sz val="10"/>
      <color theme="1"/>
      <name val="宋体"/>
      <charset val="134"/>
      <scheme val="minor"/>
    </font>
    <font>
      <sz val="10"/>
      <name val="宋体"/>
      <charset val="134"/>
      <scheme val="minor"/>
    </font>
    <font>
      <sz val="10"/>
      <name val="宋体"/>
      <charset val="0"/>
      <scheme val="major"/>
    </font>
    <font>
      <sz val="10"/>
      <color rgb="FF000000"/>
      <name val="宋体"/>
      <charset val="134"/>
    </font>
    <font>
      <sz val="9"/>
      <name val="Times New Roman"/>
      <charset val="0"/>
    </font>
    <font>
      <b/>
      <sz val="9"/>
      <name val="宋体"/>
      <charset val="134"/>
    </font>
    <font>
      <sz val="10"/>
      <name val="宋体"/>
      <charset val="0"/>
    </font>
    <font>
      <sz val="9"/>
      <name val="宋体"/>
      <charset val="134"/>
    </font>
    <font>
      <b/>
      <sz val="11"/>
      <color rgb="FFFFFFFF"/>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theme="7" tint="0.799981688894314"/>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theme="7"/>
        <bgColor indexed="64"/>
      </patternFill>
    </fill>
    <fill>
      <patternFill patternType="solid">
        <fgColor theme="4"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7" borderId="0" applyNumberFormat="0" applyBorder="0" applyAlignment="0" applyProtection="0">
      <alignment vertical="center"/>
    </xf>
    <xf numFmtId="0" fontId="21"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7" fillId="2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5" borderId="10" applyNumberFormat="0" applyFont="0" applyAlignment="0" applyProtection="0">
      <alignment vertical="center"/>
    </xf>
    <xf numFmtId="0" fontId="17" fillId="14"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9" applyNumberFormat="0" applyFill="0" applyAlignment="0" applyProtection="0">
      <alignment vertical="center"/>
    </xf>
    <xf numFmtId="0" fontId="24" fillId="0" borderId="9" applyNumberFormat="0" applyFill="0" applyAlignment="0" applyProtection="0">
      <alignment vertical="center"/>
    </xf>
    <xf numFmtId="0" fontId="17" fillId="26" borderId="0" applyNumberFormat="0" applyBorder="0" applyAlignment="0" applyProtection="0">
      <alignment vertical="center"/>
    </xf>
    <xf numFmtId="0" fontId="20" fillId="0" borderId="13" applyNumberFormat="0" applyFill="0" applyAlignment="0" applyProtection="0">
      <alignment vertical="center"/>
    </xf>
    <xf numFmtId="0" fontId="17" fillId="7" borderId="0" applyNumberFormat="0" applyBorder="0" applyAlignment="0" applyProtection="0">
      <alignment vertical="center"/>
    </xf>
    <xf numFmtId="0" fontId="26" fillId="21" borderId="12" applyNumberFormat="0" applyAlignment="0" applyProtection="0">
      <alignment vertical="center"/>
    </xf>
    <xf numFmtId="0" fontId="28" fillId="21" borderId="11" applyNumberFormat="0" applyAlignment="0" applyProtection="0">
      <alignment vertical="center"/>
    </xf>
    <xf numFmtId="0" fontId="14" fillId="2" borderId="8" applyNumberFormat="0" applyAlignment="0" applyProtection="0">
      <alignment vertical="center"/>
    </xf>
    <xf numFmtId="0" fontId="16" fillId="19" borderId="0" applyNumberFormat="0" applyBorder="0" applyAlignment="0" applyProtection="0">
      <alignment vertical="center"/>
    </xf>
    <xf numFmtId="0" fontId="17" fillId="18" borderId="0" applyNumberFormat="0" applyBorder="0" applyAlignment="0" applyProtection="0">
      <alignment vertical="center"/>
    </xf>
    <xf numFmtId="0" fontId="31" fillId="0" borderId="15" applyNumberFormat="0" applyFill="0" applyAlignment="0" applyProtection="0">
      <alignment vertical="center"/>
    </xf>
    <xf numFmtId="0" fontId="30" fillId="0" borderId="14" applyNumberFormat="0" applyFill="0" applyAlignment="0" applyProtection="0">
      <alignment vertical="center"/>
    </xf>
    <xf numFmtId="0" fontId="23" fillId="10" borderId="0" applyNumberFormat="0" applyBorder="0" applyAlignment="0" applyProtection="0">
      <alignment vertical="center"/>
    </xf>
    <xf numFmtId="0" fontId="22" fillId="9" borderId="0" applyNumberFormat="0" applyBorder="0" applyAlignment="0" applyProtection="0">
      <alignment vertical="center"/>
    </xf>
    <xf numFmtId="0" fontId="16" fillId="23" borderId="0" applyNumberFormat="0" applyBorder="0" applyAlignment="0" applyProtection="0">
      <alignment vertical="center"/>
    </xf>
    <xf numFmtId="0" fontId="17" fillId="4" borderId="0" applyNumberFormat="0" applyBorder="0" applyAlignment="0" applyProtection="0">
      <alignment vertical="center"/>
    </xf>
    <xf numFmtId="0" fontId="16" fillId="22" borderId="0" applyNumberFormat="0" applyBorder="0" applyAlignment="0" applyProtection="0">
      <alignment vertical="center"/>
    </xf>
    <xf numFmtId="0" fontId="16" fillId="12" borderId="0" applyNumberFormat="0" applyBorder="0" applyAlignment="0" applyProtection="0">
      <alignment vertical="center"/>
    </xf>
    <xf numFmtId="0" fontId="16" fillId="25" borderId="0" applyNumberFormat="0" applyBorder="0" applyAlignment="0" applyProtection="0">
      <alignment vertical="center"/>
    </xf>
    <xf numFmtId="0" fontId="16" fillId="28" borderId="0" applyNumberFormat="0" applyBorder="0" applyAlignment="0" applyProtection="0">
      <alignment vertical="center"/>
    </xf>
    <xf numFmtId="0" fontId="17" fillId="13" borderId="0" applyNumberFormat="0" applyBorder="0" applyAlignment="0" applyProtection="0">
      <alignment vertical="center"/>
    </xf>
    <xf numFmtId="0" fontId="17" fillId="11" borderId="0" applyNumberFormat="0" applyBorder="0" applyAlignment="0" applyProtection="0">
      <alignment vertical="center"/>
    </xf>
    <xf numFmtId="0" fontId="16" fillId="3" borderId="0" applyNumberFormat="0" applyBorder="0" applyAlignment="0" applyProtection="0">
      <alignment vertical="center"/>
    </xf>
    <xf numFmtId="0" fontId="16" fillId="29" borderId="0" applyNumberFormat="0" applyBorder="0" applyAlignment="0" applyProtection="0">
      <alignment vertical="center"/>
    </xf>
    <xf numFmtId="0" fontId="17" fillId="31" borderId="0" applyNumberFormat="0" applyBorder="0" applyAlignment="0" applyProtection="0">
      <alignment vertical="center"/>
    </xf>
    <xf numFmtId="0" fontId="16" fillId="30" borderId="0" applyNumberFormat="0" applyBorder="0" applyAlignment="0" applyProtection="0">
      <alignment vertical="center"/>
    </xf>
    <xf numFmtId="0" fontId="17" fillId="27" borderId="0" applyNumberFormat="0" applyBorder="0" applyAlignment="0" applyProtection="0">
      <alignment vertical="center"/>
    </xf>
    <xf numFmtId="0" fontId="17" fillId="24" borderId="0" applyNumberFormat="0" applyBorder="0" applyAlignment="0" applyProtection="0">
      <alignment vertical="center"/>
    </xf>
    <xf numFmtId="0" fontId="16" fillId="32" borderId="0" applyNumberFormat="0" applyBorder="0" applyAlignment="0" applyProtection="0">
      <alignment vertical="center"/>
    </xf>
    <xf numFmtId="0" fontId="17" fillId="16" borderId="0" applyNumberFormat="0" applyBorder="0" applyAlignment="0" applyProtection="0">
      <alignment vertical="center"/>
    </xf>
    <xf numFmtId="0" fontId="13" fillId="0" borderId="0">
      <alignment vertical="top"/>
      <protection locked="0"/>
    </xf>
  </cellStyleXfs>
  <cellXfs count="37">
    <xf numFmtId="0" fontId="0" fillId="0" borderId="0" xfId="0">
      <alignment vertical="center"/>
    </xf>
    <xf numFmtId="0" fontId="0" fillId="0"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5" fillId="0" borderId="2" xfId="0" applyFont="1" applyFill="1" applyBorder="1" applyAlignment="1">
      <alignment horizontal="center" vertical="center" textRotation="255"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43" fontId="8" fillId="0" borderId="2" xfId="0" applyNumberFormat="1" applyFont="1" applyFill="1" applyBorder="1" applyAlignment="1">
      <alignment horizontal="center" vertical="center" wrapText="1"/>
    </xf>
    <xf numFmtId="4" fontId="9" fillId="0" borderId="2" xfId="49" applyNumberFormat="1" applyFont="1" applyFill="1" applyBorder="1" applyAlignment="1" applyProtection="1">
      <alignment vertical="center" wrapText="1"/>
      <protection locked="0"/>
    </xf>
    <xf numFmtId="43" fontId="10" fillId="0" borderId="2" xfId="0" applyNumberFormat="1" applyFont="1" applyFill="1" applyBorder="1" applyAlignment="1">
      <alignment horizontal="center" vertical="center" wrapText="1"/>
    </xf>
    <xf numFmtId="176" fontId="9" fillId="0" borderId="2" xfId="49" applyNumberFormat="1" applyFont="1" applyFill="1" applyBorder="1" applyAlignment="1" applyProtection="1">
      <alignment vertical="center" wrapText="1"/>
      <protection locked="0"/>
    </xf>
    <xf numFmtId="0" fontId="1" fillId="0" borderId="2" xfId="0" applyFont="1" applyFill="1" applyBorder="1" applyAlignment="1">
      <alignment horizontal="center" vertical="center"/>
    </xf>
    <xf numFmtId="176" fontId="6" fillId="0" borderId="2" xfId="0" applyNumberFormat="1" applyFont="1" applyFill="1" applyBorder="1" applyAlignment="1">
      <alignment vertical="center" wrapText="1"/>
    </xf>
    <xf numFmtId="0" fontId="0"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43" fontId="12"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43" fontId="13"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9"/>
  <sheetViews>
    <sheetView tabSelected="1" workbookViewId="0">
      <pane ySplit="8" topLeftCell="A9" activePane="bottomLeft" state="frozen"/>
      <selection/>
      <selection pane="bottomLeft" activeCell="J21" sqref="J21"/>
    </sheetView>
  </sheetViews>
  <sheetFormatPr defaultColWidth="9" defaultRowHeight="13.5"/>
  <cols>
    <col min="1" max="1" width="4.66666666666667" style="1" customWidth="1"/>
    <col min="2" max="2" width="32.25" style="1" customWidth="1"/>
    <col min="3" max="3" width="17.25" style="1" customWidth="1"/>
    <col min="4" max="4" width="17.4416666666667" style="1" customWidth="1"/>
    <col min="5" max="5" width="15.125" style="1" customWidth="1"/>
    <col min="6" max="6" width="13.75" style="1" customWidth="1"/>
    <col min="7" max="7" width="13.125" style="1" customWidth="1"/>
    <col min="8" max="16" width="10.25" style="1" customWidth="1"/>
    <col min="17" max="17" width="9.375" style="3" customWidth="1"/>
    <col min="18" max="18" width="9.375" style="1" customWidth="1"/>
    <col min="19" max="19" width="12.4416666666667" style="1" customWidth="1"/>
    <col min="20" max="255" width="8.44166666666667" style="1"/>
    <col min="256" max="16384" width="9" style="1"/>
  </cols>
  <sheetData>
    <row r="1" s="1" customFormat="1" spans="1:19">
      <c r="A1" s="4" t="s">
        <v>0</v>
      </c>
      <c r="B1" s="4"/>
      <c r="C1" s="4"/>
      <c r="D1" s="4"/>
      <c r="E1" s="5"/>
      <c r="F1" s="5"/>
      <c r="G1" s="5"/>
      <c r="H1" s="5"/>
      <c r="I1" s="5"/>
      <c r="J1" s="5"/>
      <c r="K1" s="5"/>
      <c r="L1" s="5"/>
      <c r="M1" s="5"/>
      <c r="N1" s="5"/>
      <c r="O1" s="5"/>
      <c r="P1" s="5"/>
      <c r="Q1" s="29"/>
      <c r="R1" s="5"/>
      <c r="S1" s="5"/>
    </row>
    <row r="2" s="1" customFormat="1" ht="24" spans="1:19">
      <c r="A2" s="6" t="s">
        <v>1</v>
      </c>
      <c r="B2" s="6"/>
      <c r="C2" s="6"/>
      <c r="D2" s="6"/>
      <c r="E2" s="6"/>
      <c r="F2" s="6"/>
      <c r="G2" s="6"/>
      <c r="H2" s="6"/>
      <c r="I2" s="6"/>
      <c r="J2" s="6"/>
      <c r="K2" s="6"/>
      <c r="L2" s="6"/>
      <c r="M2" s="6"/>
      <c r="N2" s="6"/>
      <c r="O2" s="6"/>
      <c r="P2" s="6"/>
      <c r="Q2" s="6"/>
      <c r="R2" s="6"/>
      <c r="S2" s="6"/>
    </row>
    <row r="3" s="1" customFormat="1" ht="16" customHeight="1" spans="1:19">
      <c r="A3" s="6"/>
      <c r="B3" s="6"/>
      <c r="C3" s="6"/>
      <c r="D3" s="6"/>
      <c r="E3" s="6"/>
      <c r="F3" s="6"/>
      <c r="G3" s="6"/>
      <c r="H3" s="6"/>
      <c r="I3" s="6"/>
      <c r="J3" s="6"/>
      <c r="K3" s="6"/>
      <c r="L3" s="6"/>
      <c r="M3" s="6"/>
      <c r="N3" s="6"/>
      <c r="O3" s="6"/>
      <c r="P3" s="6"/>
      <c r="Q3" s="6"/>
      <c r="R3" s="6"/>
      <c r="S3" s="6"/>
    </row>
    <row r="4" s="1" customFormat="1" ht="9" customHeight="1" spans="1:19">
      <c r="A4" s="7"/>
      <c r="B4" s="7"/>
      <c r="C4" s="7"/>
      <c r="D4" s="7"/>
      <c r="E4" s="7"/>
      <c r="F4" s="7"/>
      <c r="G4" s="7"/>
      <c r="H4" s="7"/>
      <c r="I4" s="7"/>
      <c r="J4" s="7"/>
      <c r="K4" s="7"/>
      <c r="L4" s="7"/>
      <c r="M4" s="7"/>
      <c r="N4" s="7"/>
      <c r="O4" s="7"/>
      <c r="P4" s="7"/>
      <c r="Q4" s="30"/>
      <c r="R4" s="7"/>
      <c r="S4" s="7"/>
    </row>
    <row r="5" s="1" customFormat="1" ht="21" customHeight="1" spans="1:19">
      <c r="A5" s="8" t="s">
        <v>2</v>
      </c>
      <c r="B5" s="8"/>
      <c r="C5" s="8"/>
      <c r="D5" s="8"/>
      <c r="E5" s="9"/>
      <c r="F5" s="5"/>
      <c r="G5" s="5"/>
      <c r="H5" s="5"/>
      <c r="I5" s="24" t="s">
        <v>3</v>
      </c>
      <c r="J5" s="24"/>
      <c r="K5" s="24"/>
      <c r="L5" s="24"/>
      <c r="M5" s="24"/>
      <c r="N5" s="24"/>
      <c r="O5" s="24"/>
      <c r="P5" s="25"/>
      <c r="Q5" s="24"/>
      <c r="R5" s="25"/>
      <c r="S5" s="25"/>
    </row>
    <row r="6" s="2" customFormat="1" ht="23" customHeight="1" spans="1:19">
      <c r="A6" s="10" t="s">
        <v>4</v>
      </c>
      <c r="B6" s="11" t="s">
        <v>5</v>
      </c>
      <c r="C6" s="11" t="s">
        <v>6</v>
      </c>
      <c r="D6" s="11"/>
      <c r="E6" s="11" t="s">
        <v>7</v>
      </c>
      <c r="F6" s="11"/>
      <c r="G6" s="11"/>
      <c r="H6" s="11"/>
      <c r="I6" s="11" t="s">
        <v>8</v>
      </c>
      <c r="J6" s="11"/>
      <c r="K6" s="11"/>
      <c r="L6" s="11"/>
      <c r="M6" s="26" t="s">
        <v>9</v>
      </c>
      <c r="N6" s="27"/>
      <c r="O6" s="27"/>
      <c r="P6" s="28"/>
      <c r="Q6" s="11" t="s">
        <v>10</v>
      </c>
      <c r="R6" s="11" t="s">
        <v>11</v>
      </c>
      <c r="S6" s="31" t="s">
        <v>12</v>
      </c>
    </row>
    <row r="7" s="2" customFormat="1" ht="23" customHeight="1" spans="1:19">
      <c r="A7" s="10"/>
      <c r="B7" s="11"/>
      <c r="C7" s="11" t="s">
        <v>13</v>
      </c>
      <c r="D7" s="11" t="s">
        <v>14</v>
      </c>
      <c r="E7" s="11" t="s">
        <v>15</v>
      </c>
      <c r="F7" s="11" t="s">
        <v>16</v>
      </c>
      <c r="G7" s="12" t="s">
        <v>17</v>
      </c>
      <c r="H7" s="11" t="s">
        <v>18</v>
      </c>
      <c r="I7" s="11" t="s">
        <v>15</v>
      </c>
      <c r="J7" s="11" t="s">
        <v>16</v>
      </c>
      <c r="K7" s="12" t="s">
        <v>17</v>
      </c>
      <c r="L7" s="11" t="s">
        <v>18</v>
      </c>
      <c r="M7" s="11" t="s">
        <v>15</v>
      </c>
      <c r="N7" s="11" t="s">
        <v>16</v>
      </c>
      <c r="O7" s="12" t="s">
        <v>17</v>
      </c>
      <c r="P7" s="11" t="s">
        <v>18</v>
      </c>
      <c r="Q7" s="11"/>
      <c r="R7" s="11"/>
      <c r="S7" s="31"/>
    </row>
    <row r="8" s="2" customFormat="1" ht="23" customHeight="1" spans="1:19">
      <c r="A8" s="10"/>
      <c r="B8" s="11"/>
      <c r="C8" s="11"/>
      <c r="D8" s="11"/>
      <c r="E8" s="11"/>
      <c r="F8" s="11"/>
      <c r="G8" s="13"/>
      <c r="H8" s="11"/>
      <c r="I8" s="11"/>
      <c r="J8" s="11"/>
      <c r="K8" s="13"/>
      <c r="L8" s="11"/>
      <c r="M8" s="11"/>
      <c r="N8" s="11"/>
      <c r="O8" s="13"/>
      <c r="P8" s="11"/>
      <c r="Q8" s="11"/>
      <c r="R8" s="11"/>
      <c r="S8" s="31"/>
    </row>
    <row r="9" s="1" customFormat="1" ht="23" customHeight="1" spans="1:19">
      <c r="A9" s="14">
        <v>1</v>
      </c>
      <c r="B9" s="15" t="s">
        <v>19</v>
      </c>
      <c r="C9" s="16" t="s">
        <v>20</v>
      </c>
      <c r="D9" s="14" t="s">
        <v>21</v>
      </c>
      <c r="E9" s="17">
        <f>SUM(F9:H9)</f>
        <v>0.6</v>
      </c>
      <c r="F9" s="18">
        <f>6000/10000</f>
        <v>0.6</v>
      </c>
      <c r="G9" s="18"/>
      <c r="H9" s="19"/>
      <c r="I9" s="17">
        <f>SUM(J9:L9)</f>
        <v>0</v>
      </c>
      <c r="J9" s="18">
        <v>0</v>
      </c>
      <c r="K9" s="18"/>
      <c r="L9" s="18"/>
      <c r="M9" s="18">
        <f>E9-I9</f>
        <v>0.6</v>
      </c>
      <c r="N9" s="18">
        <f>F9-J9</f>
        <v>0.6</v>
      </c>
      <c r="O9" s="18">
        <f>G9-K9</f>
        <v>0</v>
      </c>
      <c r="P9" s="19">
        <f>H9-L9</f>
        <v>0</v>
      </c>
      <c r="Q9" s="32">
        <v>90</v>
      </c>
      <c r="R9" s="32" t="s">
        <v>22</v>
      </c>
      <c r="S9" s="33" t="s">
        <v>23</v>
      </c>
    </row>
    <row r="10" s="1" customFormat="1" ht="23" customHeight="1" spans="1:19">
      <c r="A10" s="14">
        <v>2</v>
      </c>
      <c r="B10" s="15" t="s">
        <v>24</v>
      </c>
      <c r="C10" s="16" t="s">
        <v>20</v>
      </c>
      <c r="D10" s="14" t="s">
        <v>21</v>
      </c>
      <c r="E10" s="17">
        <f t="shared" ref="E10:E45" si="0">SUM(F10:H10)</f>
        <v>0.88561</v>
      </c>
      <c r="F10" s="18">
        <f>8856.1/10000</f>
        <v>0.88561</v>
      </c>
      <c r="G10" s="18"/>
      <c r="H10" s="19"/>
      <c r="I10" s="17">
        <f t="shared" ref="I10:I45" si="1">SUM(J10:L10)</f>
        <v>0</v>
      </c>
      <c r="J10" s="18">
        <v>0</v>
      </c>
      <c r="K10" s="18"/>
      <c r="L10" s="18"/>
      <c r="M10" s="18">
        <f t="shared" ref="M10:M45" si="2">E10-I10</f>
        <v>0.88561</v>
      </c>
      <c r="N10" s="18">
        <f t="shared" ref="N10:N45" si="3">F10-J10</f>
        <v>0.88561</v>
      </c>
      <c r="O10" s="18">
        <f t="shared" ref="O10:O45" si="4">G10-K10</f>
        <v>0</v>
      </c>
      <c r="P10" s="19">
        <f t="shared" ref="P10:P45" si="5">H10-L10</f>
        <v>0</v>
      </c>
      <c r="Q10" s="32">
        <v>90</v>
      </c>
      <c r="R10" s="32" t="s">
        <v>22</v>
      </c>
      <c r="S10" s="33" t="s">
        <v>23</v>
      </c>
    </row>
    <row r="11" s="1" customFormat="1" ht="23" customHeight="1" spans="1:19">
      <c r="A11" s="14">
        <v>3</v>
      </c>
      <c r="B11" s="14" t="s">
        <v>25</v>
      </c>
      <c r="C11" s="16" t="s">
        <v>20</v>
      </c>
      <c r="D11" s="14" t="s">
        <v>21</v>
      </c>
      <c r="E11" s="17">
        <f t="shared" si="0"/>
        <v>210</v>
      </c>
      <c r="F11" s="18">
        <f>2100000/10000</f>
        <v>210</v>
      </c>
      <c r="G11" s="18"/>
      <c r="H11" s="19"/>
      <c r="I11" s="17">
        <f t="shared" si="1"/>
        <v>210</v>
      </c>
      <c r="J11" s="18">
        <f>2100000/10000</f>
        <v>210</v>
      </c>
      <c r="K11" s="19"/>
      <c r="L11" s="19"/>
      <c r="M11" s="18">
        <f t="shared" si="2"/>
        <v>0</v>
      </c>
      <c r="N11" s="18">
        <f t="shared" si="3"/>
        <v>0</v>
      </c>
      <c r="O11" s="18">
        <f t="shared" si="4"/>
        <v>0</v>
      </c>
      <c r="P11" s="19">
        <f t="shared" si="5"/>
        <v>0</v>
      </c>
      <c r="Q11" s="32">
        <v>100</v>
      </c>
      <c r="R11" s="32" t="s">
        <v>22</v>
      </c>
      <c r="S11" s="33" t="s">
        <v>23</v>
      </c>
    </row>
    <row r="12" s="1" customFormat="1" ht="23" customHeight="1" spans="1:19">
      <c r="A12" s="14">
        <v>4</v>
      </c>
      <c r="B12" s="14" t="s">
        <v>26</v>
      </c>
      <c r="C12" s="16" t="s">
        <v>20</v>
      </c>
      <c r="D12" s="14" t="s">
        <v>21</v>
      </c>
      <c r="E12" s="17">
        <f t="shared" si="0"/>
        <v>150</v>
      </c>
      <c r="F12" s="18">
        <f>1500000/10000</f>
        <v>150</v>
      </c>
      <c r="G12" s="18"/>
      <c r="H12" s="19"/>
      <c r="I12" s="17">
        <f t="shared" si="1"/>
        <v>105.504007</v>
      </c>
      <c r="J12" s="18">
        <f>1055040.07/10000</f>
        <v>105.504007</v>
      </c>
      <c r="K12" s="19"/>
      <c r="L12" s="19"/>
      <c r="M12" s="18">
        <f t="shared" si="2"/>
        <v>44.495993</v>
      </c>
      <c r="N12" s="18">
        <f t="shared" si="3"/>
        <v>44.495993</v>
      </c>
      <c r="O12" s="18">
        <f t="shared" si="4"/>
        <v>0</v>
      </c>
      <c r="P12" s="19">
        <f t="shared" si="5"/>
        <v>0</v>
      </c>
      <c r="Q12" s="32">
        <v>97.03</v>
      </c>
      <c r="R12" s="32" t="s">
        <v>22</v>
      </c>
      <c r="S12" s="33" t="s">
        <v>23</v>
      </c>
    </row>
    <row r="13" s="1" customFormat="1" ht="23" customHeight="1" spans="1:19">
      <c r="A13" s="14">
        <v>5</v>
      </c>
      <c r="B13" s="14" t="s">
        <v>27</v>
      </c>
      <c r="C13" s="16" t="s">
        <v>20</v>
      </c>
      <c r="D13" s="14" t="s">
        <v>21</v>
      </c>
      <c r="E13" s="17">
        <f t="shared" si="0"/>
        <v>1.4</v>
      </c>
      <c r="F13" s="18">
        <f>14000/10000</f>
        <v>1.4</v>
      </c>
      <c r="G13" s="18"/>
      <c r="H13" s="19"/>
      <c r="I13" s="17">
        <f t="shared" si="1"/>
        <v>1.4</v>
      </c>
      <c r="J13" s="18">
        <f>14000/10000</f>
        <v>1.4</v>
      </c>
      <c r="K13" s="19"/>
      <c r="L13" s="19"/>
      <c r="M13" s="18">
        <f t="shared" si="2"/>
        <v>0</v>
      </c>
      <c r="N13" s="18">
        <f t="shared" si="3"/>
        <v>0</v>
      </c>
      <c r="O13" s="18">
        <f t="shared" si="4"/>
        <v>0</v>
      </c>
      <c r="P13" s="19">
        <f t="shared" si="5"/>
        <v>0</v>
      </c>
      <c r="Q13" s="32">
        <v>100</v>
      </c>
      <c r="R13" s="32" t="s">
        <v>22</v>
      </c>
      <c r="S13" s="33" t="s">
        <v>23</v>
      </c>
    </row>
    <row r="14" s="1" customFormat="1" ht="23" customHeight="1" spans="1:19">
      <c r="A14" s="14">
        <v>6</v>
      </c>
      <c r="B14" s="14" t="s">
        <v>28</v>
      </c>
      <c r="C14" s="16" t="s">
        <v>20</v>
      </c>
      <c r="D14" s="14" t="s">
        <v>21</v>
      </c>
      <c r="E14" s="17">
        <f t="shared" si="0"/>
        <v>8.6413</v>
      </c>
      <c r="F14" s="18">
        <f>86413/10000</f>
        <v>8.6413</v>
      </c>
      <c r="G14" s="18"/>
      <c r="H14" s="19"/>
      <c r="I14" s="17">
        <f t="shared" si="1"/>
        <v>8.6413</v>
      </c>
      <c r="J14" s="18">
        <f>86413/10000</f>
        <v>8.6413</v>
      </c>
      <c r="K14" s="19"/>
      <c r="L14" s="19"/>
      <c r="M14" s="18">
        <f t="shared" si="2"/>
        <v>0</v>
      </c>
      <c r="N14" s="18">
        <f t="shared" si="3"/>
        <v>0</v>
      </c>
      <c r="O14" s="18">
        <f t="shared" si="4"/>
        <v>0</v>
      </c>
      <c r="P14" s="19">
        <f t="shared" si="5"/>
        <v>0</v>
      </c>
      <c r="Q14" s="32">
        <v>100</v>
      </c>
      <c r="R14" s="32" t="s">
        <v>22</v>
      </c>
      <c r="S14" s="33" t="s">
        <v>23</v>
      </c>
    </row>
    <row r="15" s="1" customFormat="1" ht="23" customHeight="1" spans="1:19">
      <c r="A15" s="14">
        <v>7</v>
      </c>
      <c r="B15" s="14" t="s">
        <v>29</v>
      </c>
      <c r="C15" s="16" t="s">
        <v>20</v>
      </c>
      <c r="D15" s="14" t="s">
        <v>21</v>
      </c>
      <c r="E15" s="17">
        <f t="shared" si="0"/>
        <v>3.18</v>
      </c>
      <c r="F15" s="18">
        <f>31800/10000</f>
        <v>3.18</v>
      </c>
      <c r="G15" s="18"/>
      <c r="H15" s="19"/>
      <c r="I15" s="17">
        <f t="shared" si="1"/>
        <v>3.18</v>
      </c>
      <c r="J15" s="18">
        <f>31800/10000</f>
        <v>3.18</v>
      </c>
      <c r="K15" s="19"/>
      <c r="L15" s="19"/>
      <c r="M15" s="18">
        <f t="shared" si="2"/>
        <v>0</v>
      </c>
      <c r="N15" s="18">
        <f t="shared" si="3"/>
        <v>0</v>
      </c>
      <c r="O15" s="18">
        <f t="shared" si="4"/>
        <v>0</v>
      </c>
      <c r="P15" s="19">
        <f t="shared" si="5"/>
        <v>0</v>
      </c>
      <c r="Q15" s="32">
        <v>100</v>
      </c>
      <c r="R15" s="32" t="s">
        <v>22</v>
      </c>
      <c r="S15" s="33" t="s">
        <v>23</v>
      </c>
    </row>
    <row r="16" s="1" customFormat="1" ht="23" customHeight="1" spans="1:19">
      <c r="A16" s="14">
        <v>8</v>
      </c>
      <c r="B16" s="14" t="s">
        <v>30</v>
      </c>
      <c r="C16" s="16" t="s">
        <v>20</v>
      </c>
      <c r="D16" s="14" t="s">
        <v>21</v>
      </c>
      <c r="E16" s="17">
        <f t="shared" si="0"/>
        <v>23.0159</v>
      </c>
      <c r="F16" s="19"/>
      <c r="G16" s="20">
        <f>230159/10000</f>
        <v>23.0159</v>
      </c>
      <c r="H16" s="19"/>
      <c r="I16" s="17">
        <f t="shared" si="1"/>
        <v>23.0159</v>
      </c>
      <c r="J16" s="19"/>
      <c r="K16" s="20">
        <f>230159/10000</f>
        <v>23.0159</v>
      </c>
      <c r="L16" s="19"/>
      <c r="M16" s="18">
        <f t="shared" si="2"/>
        <v>0</v>
      </c>
      <c r="N16" s="18">
        <f t="shared" si="3"/>
        <v>0</v>
      </c>
      <c r="O16" s="18">
        <f t="shared" si="4"/>
        <v>0</v>
      </c>
      <c r="P16" s="19">
        <f t="shared" si="5"/>
        <v>0</v>
      </c>
      <c r="Q16" s="32">
        <v>100</v>
      </c>
      <c r="R16" s="32" t="s">
        <v>22</v>
      </c>
      <c r="S16" s="33" t="s">
        <v>31</v>
      </c>
    </row>
    <row r="17" s="1" customFormat="1" ht="23" customHeight="1" spans="1:19">
      <c r="A17" s="14">
        <v>9</v>
      </c>
      <c r="B17" s="14" t="s">
        <v>32</v>
      </c>
      <c r="C17" s="16" t="s">
        <v>20</v>
      </c>
      <c r="D17" s="14" t="s">
        <v>21</v>
      </c>
      <c r="E17" s="17">
        <f t="shared" si="0"/>
        <v>30.92</v>
      </c>
      <c r="F17" s="19"/>
      <c r="G17" s="20">
        <f>309200/10000</f>
        <v>30.92</v>
      </c>
      <c r="H17" s="19"/>
      <c r="I17" s="17">
        <f t="shared" si="1"/>
        <v>0</v>
      </c>
      <c r="J17" s="19"/>
      <c r="K17" s="20">
        <v>0</v>
      </c>
      <c r="L17" s="19"/>
      <c r="M17" s="18">
        <f t="shared" si="2"/>
        <v>30.92</v>
      </c>
      <c r="N17" s="18">
        <f t="shared" si="3"/>
        <v>0</v>
      </c>
      <c r="O17" s="18">
        <f t="shared" si="4"/>
        <v>30.92</v>
      </c>
      <c r="P17" s="19">
        <f t="shared" si="5"/>
        <v>0</v>
      </c>
      <c r="Q17" s="32">
        <v>89.39</v>
      </c>
      <c r="R17" s="34" t="s">
        <v>33</v>
      </c>
      <c r="S17" s="33" t="s">
        <v>31</v>
      </c>
    </row>
    <row r="18" s="1" customFormat="1" ht="23" customHeight="1" spans="1:19">
      <c r="A18" s="14">
        <v>10</v>
      </c>
      <c r="B18" s="14" t="s">
        <v>34</v>
      </c>
      <c r="C18" s="16" t="s">
        <v>20</v>
      </c>
      <c r="D18" s="14" t="s">
        <v>21</v>
      </c>
      <c r="E18" s="17">
        <f t="shared" si="0"/>
        <v>23</v>
      </c>
      <c r="F18" s="19"/>
      <c r="G18" s="20">
        <f>230000/10000</f>
        <v>23</v>
      </c>
      <c r="H18" s="19"/>
      <c r="I18" s="17">
        <f t="shared" si="1"/>
        <v>23</v>
      </c>
      <c r="J18" s="19"/>
      <c r="K18" s="20">
        <f>230000/10000</f>
        <v>23</v>
      </c>
      <c r="L18" s="19"/>
      <c r="M18" s="18">
        <f t="shared" si="2"/>
        <v>0</v>
      </c>
      <c r="N18" s="18">
        <f t="shared" si="3"/>
        <v>0</v>
      </c>
      <c r="O18" s="18">
        <f t="shared" si="4"/>
        <v>0</v>
      </c>
      <c r="P18" s="19">
        <f t="shared" si="5"/>
        <v>0</v>
      </c>
      <c r="Q18" s="32">
        <v>100</v>
      </c>
      <c r="R18" s="32" t="s">
        <v>22</v>
      </c>
      <c r="S18" s="33" t="s">
        <v>31</v>
      </c>
    </row>
    <row r="19" s="1" customFormat="1" ht="23" customHeight="1" spans="1:19">
      <c r="A19" s="14">
        <v>11</v>
      </c>
      <c r="B19" s="14" t="s">
        <v>35</v>
      </c>
      <c r="C19" s="16" t="s">
        <v>20</v>
      </c>
      <c r="D19" s="14" t="s">
        <v>21</v>
      </c>
      <c r="E19" s="17">
        <f t="shared" si="0"/>
        <v>2.88</v>
      </c>
      <c r="F19" s="19"/>
      <c r="G19" s="20">
        <f>28800/10000</f>
        <v>2.88</v>
      </c>
      <c r="H19" s="19"/>
      <c r="I19" s="17">
        <f t="shared" si="1"/>
        <v>0</v>
      </c>
      <c r="J19" s="19"/>
      <c r="K19" s="20">
        <v>0</v>
      </c>
      <c r="L19" s="19"/>
      <c r="M19" s="18">
        <f t="shared" si="2"/>
        <v>2.88</v>
      </c>
      <c r="N19" s="18">
        <f t="shared" si="3"/>
        <v>0</v>
      </c>
      <c r="O19" s="18">
        <f t="shared" si="4"/>
        <v>2.88</v>
      </c>
      <c r="P19" s="19">
        <f t="shared" si="5"/>
        <v>0</v>
      </c>
      <c r="Q19" s="32">
        <v>90</v>
      </c>
      <c r="R19" s="32" t="s">
        <v>22</v>
      </c>
      <c r="S19" s="33" t="s">
        <v>31</v>
      </c>
    </row>
    <row r="20" s="1" customFormat="1" ht="23" customHeight="1" spans="1:19">
      <c r="A20" s="14">
        <v>12</v>
      </c>
      <c r="B20" s="14" t="s">
        <v>36</v>
      </c>
      <c r="C20" s="16" t="s">
        <v>20</v>
      </c>
      <c r="D20" s="14" t="s">
        <v>21</v>
      </c>
      <c r="E20" s="17">
        <f t="shared" si="0"/>
        <v>0.12</v>
      </c>
      <c r="F20" s="19"/>
      <c r="G20" s="20">
        <f>1200/10000</f>
        <v>0.12</v>
      </c>
      <c r="H20" s="19"/>
      <c r="I20" s="17">
        <f t="shared" si="1"/>
        <v>0.12</v>
      </c>
      <c r="J20" s="19"/>
      <c r="K20" s="20">
        <f>1200/10000</f>
        <v>0.12</v>
      </c>
      <c r="L20" s="19"/>
      <c r="M20" s="18">
        <f t="shared" si="2"/>
        <v>0</v>
      </c>
      <c r="N20" s="18">
        <f t="shared" si="3"/>
        <v>0</v>
      </c>
      <c r="O20" s="18">
        <f t="shared" si="4"/>
        <v>0</v>
      </c>
      <c r="P20" s="19">
        <f t="shared" si="5"/>
        <v>0</v>
      </c>
      <c r="Q20" s="32">
        <v>100</v>
      </c>
      <c r="R20" s="32" t="s">
        <v>22</v>
      </c>
      <c r="S20" s="33" t="s">
        <v>31</v>
      </c>
    </row>
    <row r="21" s="1" customFormat="1" ht="23" customHeight="1" spans="1:19">
      <c r="A21" s="14">
        <v>13</v>
      </c>
      <c r="B21" s="14" t="s">
        <v>37</v>
      </c>
      <c r="C21" s="16" t="s">
        <v>20</v>
      </c>
      <c r="D21" s="14" t="s">
        <v>21</v>
      </c>
      <c r="E21" s="17">
        <f t="shared" si="0"/>
        <v>0.0912</v>
      </c>
      <c r="F21" s="19"/>
      <c r="G21" s="20">
        <f>912/10000</f>
        <v>0.0912</v>
      </c>
      <c r="H21" s="19"/>
      <c r="I21" s="17">
        <f t="shared" si="1"/>
        <v>0</v>
      </c>
      <c r="J21" s="19"/>
      <c r="K21" s="20">
        <v>0</v>
      </c>
      <c r="L21" s="19"/>
      <c r="M21" s="18">
        <f t="shared" si="2"/>
        <v>0.0912</v>
      </c>
      <c r="N21" s="18">
        <f t="shared" si="3"/>
        <v>0</v>
      </c>
      <c r="O21" s="18">
        <f t="shared" si="4"/>
        <v>0.0912</v>
      </c>
      <c r="P21" s="19">
        <f t="shared" si="5"/>
        <v>0</v>
      </c>
      <c r="Q21" s="32">
        <v>90</v>
      </c>
      <c r="R21" s="32" t="s">
        <v>22</v>
      </c>
      <c r="S21" s="33" t="s">
        <v>31</v>
      </c>
    </row>
    <row r="22" s="1" customFormat="1" ht="23" customHeight="1" spans="1:19">
      <c r="A22" s="14">
        <v>14</v>
      </c>
      <c r="B22" s="14" t="s">
        <v>38</v>
      </c>
      <c r="C22" s="16" t="s">
        <v>20</v>
      </c>
      <c r="D22" s="14" t="s">
        <v>21</v>
      </c>
      <c r="E22" s="17">
        <f t="shared" si="0"/>
        <v>6.82475</v>
      </c>
      <c r="F22" s="19"/>
      <c r="G22" s="20">
        <f>68247.5/10000</f>
        <v>6.82475</v>
      </c>
      <c r="H22" s="19"/>
      <c r="I22" s="17">
        <f t="shared" si="1"/>
        <v>6.82475</v>
      </c>
      <c r="J22" s="19"/>
      <c r="K22" s="20">
        <f>68247.5/10000</f>
        <v>6.82475</v>
      </c>
      <c r="L22" s="19"/>
      <c r="M22" s="18">
        <f t="shared" si="2"/>
        <v>0</v>
      </c>
      <c r="N22" s="18">
        <f t="shared" si="3"/>
        <v>0</v>
      </c>
      <c r="O22" s="18">
        <f t="shared" si="4"/>
        <v>0</v>
      </c>
      <c r="P22" s="19">
        <f t="shared" si="5"/>
        <v>0</v>
      </c>
      <c r="Q22" s="32">
        <v>100</v>
      </c>
      <c r="R22" s="32" t="s">
        <v>22</v>
      </c>
      <c r="S22" s="33" t="s">
        <v>31</v>
      </c>
    </row>
    <row r="23" s="1" customFormat="1" ht="23" customHeight="1" spans="1:19">
      <c r="A23" s="14">
        <v>15</v>
      </c>
      <c r="B23" s="14" t="s">
        <v>39</v>
      </c>
      <c r="C23" s="16" t="s">
        <v>20</v>
      </c>
      <c r="D23" s="14" t="s">
        <v>21</v>
      </c>
      <c r="E23" s="17">
        <f t="shared" si="0"/>
        <v>10.9</v>
      </c>
      <c r="F23" s="19"/>
      <c r="G23" s="20">
        <f>109000/10000</f>
        <v>10.9</v>
      </c>
      <c r="H23" s="19"/>
      <c r="I23" s="17">
        <f t="shared" si="1"/>
        <v>10.9</v>
      </c>
      <c r="J23" s="19"/>
      <c r="K23" s="20">
        <f>109000/10000</f>
        <v>10.9</v>
      </c>
      <c r="L23" s="19"/>
      <c r="M23" s="18">
        <f t="shared" si="2"/>
        <v>0</v>
      </c>
      <c r="N23" s="18">
        <f t="shared" si="3"/>
        <v>0</v>
      </c>
      <c r="O23" s="18">
        <f t="shared" si="4"/>
        <v>0</v>
      </c>
      <c r="P23" s="19">
        <f t="shared" si="5"/>
        <v>0</v>
      </c>
      <c r="Q23" s="32">
        <v>91</v>
      </c>
      <c r="R23" s="32" t="s">
        <v>22</v>
      </c>
      <c r="S23" s="33" t="s">
        <v>31</v>
      </c>
    </row>
    <row r="24" s="1" customFormat="1" ht="23" customHeight="1" spans="1:19">
      <c r="A24" s="14">
        <v>16</v>
      </c>
      <c r="B24" s="14" t="s">
        <v>40</v>
      </c>
      <c r="C24" s="16" t="s">
        <v>20</v>
      </c>
      <c r="D24" s="14" t="s">
        <v>21</v>
      </c>
      <c r="E24" s="17">
        <f t="shared" si="0"/>
        <v>193</v>
      </c>
      <c r="F24" s="19"/>
      <c r="G24" s="20">
        <f>1930000/10000</f>
        <v>193</v>
      </c>
      <c r="H24" s="19"/>
      <c r="I24" s="17">
        <f t="shared" si="1"/>
        <v>0</v>
      </c>
      <c r="J24" s="19"/>
      <c r="K24" s="20">
        <v>0</v>
      </c>
      <c r="L24" s="19"/>
      <c r="M24" s="18">
        <f t="shared" si="2"/>
        <v>193</v>
      </c>
      <c r="N24" s="18">
        <f t="shared" si="3"/>
        <v>0</v>
      </c>
      <c r="O24" s="18">
        <f t="shared" si="4"/>
        <v>193</v>
      </c>
      <c r="P24" s="19">
        <f t="shared" si="5"/>
        <v>0</v>
      </c>
      <c r="Q24" s="32">
        <v>90</v>
      </c>
      <c r="R24" s="32" t="s">
        <v>22</v>
      </c>
      <c r="S24" s="33" t="s">
        <v>31</v>
      </c>
    </row>
    <row r="25" s="1" customFormat="1" ht="23" customHeight="1" spans="1:19">
      <c r="A25" s="14">
        <v>17</v>
      </c>
      <c r="B25" s="14" t="s">
        <v>41</v>
      </c>
      <c r="C25" s="16" t="s">
        <v>20</v>
      </c>
      <c r="D25" s="14" t="s">
        <v>21</v>
      </c>
      <c r="E25" s="17">
        <f t="shared" si="0"/>
        <v>0.5</v>
      </c>
      <c r="F25" s="19"/>
      <c r="G25" s="20">
        <f>5000/10000</f>
        <v>0.5</v>
      </c>
      <c r="H25" s="19"/>
      <c r="I25" s="17">
        <f t="shared" si="1"/>
        <v>0.5</v>
      </c>
      <c r="J25" s="19"/>
      <c r="K25" s="20">
        <f>5000/10000</f>
        <v>0.5</v>
      </c>
      <c r="L25" s="19"/>
      <c r="M25" s="18">
        <f t="shared" si="2"/>
        <v>0</v>
      </c>
      <c r="N25" s="18">
        <f t="shared" si="3"/>
        <v>0</v>
      </c>
      <c r="O25" s="18">
        <f t="shared" si="4"/>
        <v>0</v>
      </c>
      <c r="P25" s="19">
        <f t="shared" si="5"/>
        <v>0</v>
      </c>
      <c r="Q25" s="32">
        <v>100</v>
      </c>
      <c r="R25" s="32" t="s">
        <v>22</v>
      </c>
      <c r="S25" s="33" t="s">
        <v>31</v>
      </c>
    </row>
    <row r="26" s="1" customFormat="1" ht="23" customHeight="1" spans="1:19">
      <c r="A26" s="14">
        <v>18</v>
      </c>
      <c r="B26" s="14" t="s">
        <v>42</v>
      </c>
      <c r="C26" s="16" t="s">
        <v>20</v>
      </c>
      <c r="D26" s="14" t="s">
        <v>21</v>
      </c>
      <c r="E26" s="17">
        <f t="shared" si="0"/>
        <v>0.22</v>
      </c>
      <c r="F26" s="19"/>
      <c r="G26" s="20">
        <f>2200/10000</f>
        <v>0.22</v>
      </c>
      <c r="H26" s="19"/>
      <c r="I26" s="17">
        <f t="shared" si="1"/>
        <v>0</v>
      </c>
      <c r="J26" s="19"/>
      <c r="K26" s="20">
        <v>0</v>
      </c>
      <c r="L26" s="19"/>
      <c r="M26" s="18">
        <f t="shared" si="2"/>
        <v>0.22</v>
      </c>
      <c r="N26" s="18">
        <f t="shared" si="3"/>
        <v>0</v>
      </c>
      <c r="O26" s="18">
        <f t="shared" si="4"/>
        <v>0.22</v>
      </c>
      <c r="P26" s="19">
        <f t="shared" si="5"/>
        <v>0</v>
      </c>
      <c r="Q26" s="32">
        <v>90</v>
      </c>
      <c r="R26" s="32" t="s">
        <v>22</v>
      </c>
      <c r="S26" s="33" t="s">
        <v>31</v>
      </c>
    </row>
    <row r="27" s="1" customFormat="1" ht="23" customHeight="1" spans="1:19">
      <c r="A27" s="14">
        <v>19</v>
      </c>
      <c r="B27" s="14" t="s">
        <v>43</v>
      </c>
      <c r="C27" s="16" t="s">
        <v>20</v>
      </c>
      <c r="D27" s="14" t="s">
        <v>21</v>
      </c>
      <c r="E27" s="17">
        <f t="shared" si="0"/>
        <v>4</v>
      </c>
      <c r="F27" s="19"/>
      <c r="G27" s="20">
        <f>40000/10000</f>
        <v>4</v>
      </c>
      <c r="H27" s="19"/>
      <c r="I27" s="17">
        <f t="shared" si="1"/>
        <v>4</v>
      </c>
      <c r="J27" s="19"/>
      <c r="K27" s="20">
        <f>40000/10000</f>
        <v>4</v>
      </c>
      <c r="L27" s="19"/>
      <c r="M27" s="18">
        <f t="shared" si="2"/>
        <v>0</v>
      </c>
      <c r="N27" s="18">
        <f t="shared" si="3"/>
        <v>0</v>
      </c>
      <c r="O27" s="18">
        <f t="shared" si="4"/>
        <v>0</v>
      </c>
      <c r="P27" s="19">
        <f t="shared" si="5"/>
        <v>0</v>
      </c>
      <c r="Q27" s="32">
        <v>100</v>
      </c>
      <c r="R27" s="32" t="s">
        <v>22</v>
      </c>
      <c r="S27" s="33" t="s">
        <v>31</v>
      </c>
    </row>
    <row r="28" s="1" customFormat="1" ht="23" customHeight="1" spans="1:19">
      <c r="A28" s="14">
        <v>20</v>
      </c>
      <c r="B28" s="14" t="s">
        <v>44</v>
      </c>
      <c r="C28" s="16" t="s">
        <v>20</v>
      </c>
      <c r="D28" s="14" t="s">
        <v>21</v>
      </c>
      <c r="E28" s="17">
        <f t="shared" si="0"/>
        <v>110.24</v>
      </c>
      <c r="F28" s="19"/>
      <c r="G28" s="20">
        <f>1102400/10000</f>
        <v>110.24</v>
      </c>
      <c r="H28" s="19"/>
      <c r="I28" s="17">
        <f t="shared" si="1"/>
        <v>0.0096</v>
      </c>
      <c r="J28" s="19"/>
      <c r="K28" s="20">
        <f>96/10000</f>
        <v>0.0096</v>
      </c>
      <c r="L28" s="19"/>
      <c r="M28" s="18">
        <f t="shared" si="2"/>
        <v>110.2304</v>
      </c>
      <c r="N28" s="18">
        <f t="shared" si="3"/>
        <v>0</v>
      </c>
      <c r="O28" s="18">
        <f t="shared" si="4"/>
        <v>110.2304</v>
      </c>
      <c r="P28" s="19">
        <f t="shared" si="5"/>
        <v>0</v>
      </c>
      <c r="Q28" s="32">
        <v>87.15</v>
      </c>
      <c r="R28" s="34" t="s">
        <v>33</v>
      </c>
      <c r="S28" s="33" t="s">
        <v>31</v>
      </c>
    </row>
    <row r="29" s="1" customFormat="1" ht="23" customHeight="1" spans="1:19">
      <c r="A29" s="14">
        <v>21</v>
      </c>
      <c r="B29" s="14" t="s">
        <v>45</v>
      </c>
      <c r="C29" s="16" t="s">
        <v>20</v>
      </c>
      <c r="D29" s="14" t="s">
        <v>21</v>
      </c>
      <c r="E29" s="17">
        <f t="shared" si="0"/>
        <v>9.1</v>
      </c>
      <c r="F29" s="19"/>
      <c r="G29" s="20">
        <f>91000/10000</f>
        <v>9.1</v>
      </c>
      <c r="H29" s="19"/>
      <c r="I29" s="17">
        <f t="shared" si="1"/>
        <v>9.1</v>
      </c>
      <c r="J29" s="19"/>
      <c r="K29" s="20">
        <f>91000/10000</f>
        <v>9.1</v>
      </c>
      <c r="L29" s="19"/>
      <c r="M29" s="18">
        <f t="shared" si="2"/>
        <v>0</v>
      </c>
      <c r="N29" s="18">
        <f t="shared" si="3"/>
        <v>0</v>
      </c>
      <c r="O29" s="18">
        <f t="shared" si="4"/>
        <v>0</v>
      </c>
      <c r="P29" s="19">
        <f t="shared" si="5"/>
        <v>0</v>
      </c>
      <c r="Q29" s="32">
        <v>100</v>
      </c>
      <c r="R29" s="32" t="s">
        <v>22</v>
      </c>
      <c r="S29" s="33" t="s">
        <v>31</v>
      </c>
    </row>
    <row r="30" s="1" customFormat="1" ht="23" customHeight="1" spans="1:19">
      <c r="A30" s="14">
        <v>22</v>
      </c>
      <c r="B30" s="14" t="s">
        <v>46</v>
      </c>
      <c r="C30" s="16" t="s">
        <v>20</v>
      </c>
      <c r="D30" s="14" t="s">
        <v>21</v>
      </c>
      <c r="E30" s="17">
        <f t="shared" si="0"/>
        <v>1.2</v>
      </c>
      <c r="F30" s="19"/>
      <c r="G30" s="20">
        <f>12000/10000</f>
        <v>1.2</v>
      </c>
      <c r="H30" s="19"/>
      <c r="I30" s="17">
        <f t="shared" si="1"/>
        <v>1.2</v>
      </c>
      <c r="J30" s="19"/>
      <c r="K30" s="20">
        <f>12000/10000</f>
        <v>1.2</v>
      </c>
      <c r="L30" s="19"/>
      <c r="M30" s="18">
        <f t="shared" si="2"/>
        <v>0</v>
      </c>
      <c r="N30" s="18">
        <f t="shared" si="3"/>
        <v>0</v>
      </c>
      <c r="O30" s="18">
        <f t="shared" si="4"/>
        <v>0</v>
      </c>
      <c r="P30" s="19">
        <f t="shared" si="5"/>
        <v>0</v>
      </c>
      <c r="Q30" s="32">
        <v>100</v>
      </c>
      <c r="R30" s="32" t="s">
        <v>22</v>
      </c>
      <c r="S30" s="33" t="s">
        <v>31</v>
      </c>
    </row>
    <row r="31" s="1" customFormat="1" ht="23" customHeight="1" spans="1:19">
      <c r="A31" s="14">
        <v>23</v>
      </c>
      <c r="B31" s="14" t="s">
        <v>47</v>
      </c>
      <c r="C31" s="16" t="s">
        <v>20</v>
      </c>
      <c r="D31" s="14" t="s">
        <v>21</v>
      </c>
      <c r="E31" s="17">
        <f t="shared" si="0"/>
        <v>0.884</v>
      </c>
      <c r="F31" s="19"/>
      <c r="G31" s="20">
        <f>8840/10000</f>
        <v>0.884</v>
      </c>
      <c r="H31" s="19"/>
      <c r="I31" s="17">
        <f t="shared" si="1"/>
        <v>0.884</v>
      </c>
      <c r="J31" s="19"/>
      <c r="K31" s="20">
        <f>8840/10000</f>
        <v>0.884</v>
      </c>
      <c r="L31" s="19"/>
      <c r="M31" s="18">
        <f t="shared" si="2"/>
        <v>0</v>
      </c>
      <c r="N31" s="18">
        <f t="shared" si="3"/>
        <v>0</v>
      </c>
      <c r="O31" s="18">
        <f t="shared" si="4"/>
        <v>0</v>
      </c>
      <c r="P31" s="19">
        <f t="shared" si="5"/>
        <v>0</v>
      </c>
      <c r="Q31" s="32">
        <v>100</v>
      </c>
      <c r="R31" s="32" t="s">
        <v>22</v>
      </c>
      <c r="S31" s="33" t="s">
        <v>31</v>
      </c>
    </row>
    <row r="32" s="1" customFormat="1" ht="23" customHeight="1" spans="1:19">
      <c r="A32" s="14">
        <v>24</v>
      </c>
      <c r="B32" s="14" t="s">
        <v>48</v>
      </c>
      <c r="C32" s="16" t="s">
        <v>20</v>
      </c>
      <c r="D32" s="14" t="s">
        <v>21</v>
      </c>
      <c r="E32" s="17">
        <f t="shared" si="0"/>
        <v>0.0894</v>
      </c>
      <c r="F32" s="19"/>
      <c r="G32" s="20">
        <f>894/10000</f>
        <v>0.0894</v>
      </c>
      <c r="H32" s="19"/>
      <c r="I32" s="17">
        <f t="shared" si="1"/>
        <v>0.0886</v>
      </c>
      <c r="J32" s="19"/>
      <c r="K32" s="20">
        <f>886/10000</f>
        <v>0.0886</v>
      </c>
      <c r="L32" s="19"/>
      <c r="M32" s="18">
        <f t="shared" si="2"/>
        <v>0.000799999999999995</v>
      </c>
      <c r="N32" s="18">
        <f t="shared" si="3"/>
        <v>0</v>
      </c>
      <c r="O32" s="18">
        <f t="shared" si="4"/>
        <v>0.000799999999999995</v>
      </c>
      <c r="P32" s="19">
        <f t="shared" si="5"/>
        <v>0</v>
      </c>
      <c r="Q32" s="32">
        <v>99.91</v>
      </c>
      <c r="R32" s="32" t="s">
        <v>22</v>
      </c>
      <c r="S32" s="33" t="s">
        <v>31</v>
      </c>
    </row>
    <row r="33" s="1" customFormat="1" ht="23" customHeight="1" spans="1:19">
      <c r="A33" s="14">
        <v>25</v>
      </c>
      <c r="B33" s="14" t="s">
        <v>49</v>
      </c>
      <c r="C33" s="16" t="s">
        <v>20</v>
      </c>
      <c r="D33" s="14" t="s">
        <v>21</v>
      </c>
      <c r="E33" s="17">
        <f t="shared" si="0"/>
        <v>0.0139</v>
      </c>
      <c r="F33" s="19"/>
      <c r="G33" s="20">
        <f>139/10000</f>
        <v>0.0139</v>
      </c>
      <c r="H33" s="19"/>
      <c r="I33" s="17">
        <f t="shared" si="1"/>
        <v>0</v>
      </c>
      <c r="J33" s="19"/>
      <c r="K33" s="20">
        <v>0</v>
      </c>
      <c r="L33" s="19"/>
      <c r="M33" s="18">
        <f t="shared" si="2"/>
        <v>0.0139</v>
      </c>
      <c r="N33" s="18">
        <f t="shared" si="3"/>
        <v>0</v>
      </c>
      <c r="O33" s="18">
        <f t="shared" si="4"/>
        <v>0.0139</v>
      </c>
      <c r="P33" s="19">
        <f t="shared" si="5"/>
        <v>0</v>
      </c>
      <c r="Q33" s="32">
        <v>90</v>
      </c>
      <c r="R33" s="32" t="s">
        <v>22</v>
      </c>
      <c r="S33" s="33" t="s">
        <v>31</v>
      </c>
    </row>
    <row r="34" s="1" customFormat="1" ht="23" customHeight="1" spans="1:19">
      <c r="A34" s="14">
        <v>26</v>
      </c>
      <c r="B34" s="14" t="s">
        <v>50</v>
      </c>
      <c r="C34" s="16" t="s">
        <v>20</v>
      </c>
      <c r="D34" s="14" t="s">
        <v>21</v>
      </c>
      <c r="E34" s="17">
        <f t="shared" si="0"/>
        <v>0.10189</v>
      </c>
      <c r="F34" s="19"/>
      <c r="G34" s="20">
        <f>1018.9/10000</f>
        <v>0.10189</v>
      </c>
      <c r="H34" s="19"/>
      <c r="I34" s="17">
        <f t="shared" si="1"/>
        <v>0.10169</v>
      </c>
      <c r="J34" s="19"/>
      <c r="K34" s="20">
        <f>1016.9/10000</f>
        <v>0.10169</v>
      </c>
      <c r="L34" s="19"/>
      <c r="M34" s="18">
        <f t="shared" si="2"/>
        <v>0.000199999999999992</v>
      </c>
      <c r="N34" s="18">
        <f t="shared" si="3"/>
        <v>0</v>
      </c>
      <c r="O34" s="18">
        <f t="shared" si="4"/>
        <v>0.000199999999999992</v>
      </c>
      <c r="P34" s="19">
        <f t="shared" si="5"/>
        <v>0</v>
      </c>
      <c r="Q34" s="32">
        <v>99.98</v>
      </c>
      <c r="R34" s="32" t="s">
        <v>22</v>
      </c>
      <c r="S34" s="33" t="s">
        <v>31</v>
      </c>
    </row>
    <row r="35" s="1" customFormat="1" ht="23" customHeight="1" spans="1:19">
      <c r="A35" s="14">
        <v>27</v>
      </c>
      <c r="B35" s="14" t="s">
        <v>51</v>
      </c>
      <c r="C35" s="16" t="s">
        <v>20</v>
      </c>
      <c r="D35" s="14" t="s">
        <v>21</v>
      </c>
      <c r="E35" s="17">
        <f t="shared" si="0"/>
        <v>80</v>
      </c>
      <c r="F35" s="19"/>
      <c r="G35" s="20">
        <f>800000/10000</f>
        <v>80</v>
      </c>
      <c r="H35" s="19"/>
      <c r="I35" s="17">
        <f t="shared" si="1"/>
        <v>0</v>
      </c>
      <c r="J35" s="19"/>
      <c r="K35" s="20">
        <v>0</v>
      </c>
      <c r="L35" s="19"/>
      <c r="M35" s="18">
        <f t="shared" si="2"/>
        <v>80</v>
      </c>
      <c r="N35" s="18">
        <f t="shared" si="3"/>
        <v>0</v>
      </c>
      <c r="O35" s="18">
        <f t="shared" si="4"/>
        <v>80</v>
      </c>
      <c r="P35" s="19">
        <f t="shared" si="5"/>
        <v>0</v>
      </c>
      <c r="Q35" s="32">
        <v>90</v>
      </c>
      <c r="R35" s="32" t="s">
        <v>22</v>
      </c>
      <c r="S35" s="33" t="s">
        <v>31</v>
      </c>
    </row>
    <row r="36" s="1" customFormat="1" ht="23" customHeight="1" spans="1:19">
      <c r="A36" s="14">
        <v>28</v>
      </c>
      <c r="B36" s="14" t="s">
        <v>52</v>
      </c>
      <c r="C36" s="16" t="s">
        <v>20</v>
      </c>
      <c r="D36" s="14" t="s">
        <v>21</v>
      </c>
      <c r="E36" s="17">
        <f t="shared" si="0"/>
        <v>0.035344</v>
      </c>
      <c r="F36" s="19"/>
      <c r="G36" s="20">
        <f>353.44/10000</f>
        <v>0.035344</v>
      </c>
      <c r="H36" s="19"/>
      <c r="I36" s="17">
        <f t="shared" si="1"/>
        <v>0</v>
      </c>
      <c r="J36" s="19"/>
      <c r="K36" s="20">
        <v>0</v>
      </c>
      <c r="L36" s="19"/>
      <c r="M36" s="18">
        <f t="shared" si="2"/>
        <v>0.035344</v>
      </c>
      <c r="N36" s="18">
        <f t="shared" si="3"/>
        <v>0</v>
      </c>
      <c r="O36" s="18">
        <f t="shared" si="4"/>
        <v>0.035344</v>
      </c>
      <c r="P36" s="19">
        <f t="shared" si="5"/>
        <v>0</v>
      </c>
      <c r="Q36" s="32">
        <v>90</v>
      </c>
      <c r="R36" s="32" t="s">
        <v>22</v>
      </c>
      <c r="S36" s="33" t="s">
        <v>31</v>
      </c>
    </row>
    <row r="37" s="1" customFormat="1" ht="23" customHeight="1" spans="1:19">
      <c r="A37" s="14">
        <v>29</v>
      </c>
      <c r="B37" s="14" t="s">
        <v>53</v>
      </c>
      <c r="C37" s="16" t="s">
        <v>20</v>
      </c>
      <c r="D37" s="14" t="s">
        <v>21</v>
      </c>
      <c r="E37" s="17">
        <f t="shared" si="0"/>
        <v>3.98</v>
      </c>
      <c r="F37" s="19"/>
      <c r="G37" s="20">
        <f>39800/10000</f>
        <v>3.98</v>
      </c>
      <c r="H37" s="19"/>
      <c r="I37" s="17">
        <f t="shared" si="1"/>
        <v>3.98</v>
      </c>
      <c r="J37" s="19"/>
      <c r="K37" s="20">
        <f>39800/10000</f>
        <v>3.98</v>
      </c>
      <c r="L37" s="19"/>
      <c r="M37" s="18">
        <f t="shared" si="2"/>
        <v>0</v>
      </c>
      <c r="N37" s="18">
        <f t="shared" si="3"/>
        <v>0</v>
      </c>
      <c r="O37" s="18">
        <f t="shared" si="4"/>
        <v>0</v>
      </c>
      <c r="P37" s="19">
        <f t="shared" si="5"/>
        <v>0</v>
      </c>
      <c r="Q37" s="32">
        <v>98</v>
      </c>
      <c r="R37" s="32" t="s">
        <v>22</v>
      </c>
      <c r="S37" s="33" t="s">
        <v>31</v>
      </c>
    </row>
    <row r="38" s="1" customFormat="1" ht="23" customHeight="1" spans="1:19">
      <c r="A38" s="14">
        <v>30</v>
      </c>
      <c r="B38" s="14" t="s">
        <v>54</v>
      </c>
      <c r="C38" s="16" t="s">
        <v>20</v>
      </c>
      <c r="D38" s="14" t="s">
        <v>21</v>
      </c>
      <c r="E38" s="17">
        <f t="shared" si="0"/>
        <v>0.14715</v>
      </c>
      <c r="F38" s="19"/>
      <c r="G38" s="20">
        <f>1471.5/10000</f>
        <v>0.14715</v>
      </c>
      <c r="H38" s="19"/>
      <c r="I38" s="17">
        <f t="shared" si="1"/>
        <v>0.14715</v>
      </c>
      <c r="J38" s="19"/>
      <c r="K38" s="20">
        <f>1471.5/10000</f>
        <v>0.14715</v>
      </c>
      <c r="L38" s="19"/>
      <c r="M38" s="18">
        <f t="shared" si="2"/>
        <v>0</v>
      </c>
      <c r="N38" s="18">
        <f t="shared" si="3"/>
        <v>0</v>
      </c>
      <c r="O38" s="18">
        <f t="shared" si="4"/>
        <v>0</v>
      </c>
      <c r="P38" s="19">
        <f t="shared" si="5"/>
        <v>0</v>
      </c>
      <c r="Q38" s="32">
        <v>100</v>
      </c>
      <c r="R38" s="32" t="s">
        <v>22</v>
      </c>
      <c r="S38" s="33" t="s">
        <v>31</v>
      </c>
    </row>
    <row r="39" s="1" customFormat="1" ht="23" customHeight="1" spans="1:19">
      <c r="A39" s="14">
        <v>31</v>
      </c>
      <c r="B39" s="14" t="s">
        <v>55</v>
      </c>
      <c r="C39" s="16" t="s">
        <v>20</v>
      </c>
      <c r="D39" s="14" t="s">
        <v>21</v>
      </c>
      <c r="E39" s="17">
        <f t="shared" si="0"/>
        <v>25.36525</v>
      </c>
      <c r="F39" s="19"/>
      <c r="G39" s="20">
        <f>253652.5/10000</f>
        <v>25.36525</v>
      </c>
      <c r="H39" s="19"/>
      <c r="I39" s="17">
        <f t="shared" si="1"/>
        <v>0</v>
      </c>
      <c r="J39" s="19"/>
      <c r="K39" s="20">
        <v>0</v>
      </c>
      <c r="L39" s="19"/>
      <c r="M39" s="18">
        <f t="shared" si="2"/>
        <v>25.36525</v>
      </c>
      <c r="N39" s="18">
        <f t="shared" si="3"/>
        <v>0</v>
      </c>
      <c r="O39" s="18">
        <f t="shared" si="4"/>
        <v>25.36525</v>
      </c>
      <c r="P39" s="19">
        <f t="shared" si="5"/>
        <v>0</v>
      </c>
      <c r="Q39" s="32">
        <v>90</v>
      </c>
      <c r="R39" s="32" t="s">
        <v>22</v>
      </c>
      <c r="S39" s="33" t="s">
        <v>31</v>
      </c>
    </row>
    <row r="40" s="1" customFormat="1" ht="23" customHeight="1" spans="1:19">
      <c r="A40" s="14">
        <v>32</v>
      </c>
      <c r="B40" s="14" t="s">
        <v>56</v>
      </c>
      <c r="C40" s="16" t="s">
        <v>20</v>
      </c>
      <c r="D40" s="14" t="s">
        <v>21</v>
      </c>
      <c r="E40" s="17">
        <f t="shared" si="0"/>
        <v>0.57</v>
      </c>
      <c r="F40" s="19"/>
      <c r="G40" s="20">
        <f>5700/10000</f>
        <v>0.57</v>
      </c>
      <c r="H40" s="19"/>
      <c r="I40" s="17">
        <f t="shared" si="1"/>
        <v>0.57</v>
      </c>
      <c r="J40" s="19"/>
      <c r="K40" s="20">
        <f>5700/10000</f>
        <v>0.57</v>
      </c>
      <c r="L40" s="19"/>
      <c r="M40" s="18">
        <f t="shared" si="2"/>
        <v>0</v>
      </c>
      <c r="N40" s="18">
        <f t="shared" si="3"/>
        <v>0</v>
      </c>
      <c r="O40" s="18">
        <f t="shared" si="4"/>
        <v>0</v>
      </c>
      <c r="P40" s="19">
        <f t="shared" si="5"/>
        <v>0</v>
      </c>
      <c r="Q40" s="32">
        <v>100</v>
      </c>
      <c r="R40" s="32" t="s">
        <v>22</v>
      </c>
      <c r="S40" s="33" t="s">
        <v>31</v>
      </c>
    </row>
    <row r="41" s="1" customFormat="1" ht="23" customHeight="1" spans="1:19">
      <c r="A41" s="14">
        <v>33</v>
      </c>
      <c r="B41" s="14" t="s">
        <v>57</v>
      </c>
      <c r="C41" s="16" t="s">
        <v>20</v>
      </c>
      <c r="D41" s="14" t="s">
        <v>21</v>
      </c>
      <c r="E41" s="17">
        <f t="shared" si="0"/>
        <v>9.1</v>
      </c>
      <c r="F41" s="19"/>
      <c r="G41" s="20">
        <f>91000/10000</f>
        <v>9.1</v>
      </c>
      <c r="H41" s="19"/>
      <c r="I41" s="17">
        <f t="shared" si="1"/>
        <v>0</v>
      </c>
      <c r="J41" s="19"/>
      <c r="K41" s="20">
        <v>0</v>
      </c>
      <c r="L41" s="19"/>
      <c r="M41" s="18">
        <f t="shared" si="2"/>
        <v>9.1</v>
      </c>
      <c r="N41" s="18">
        <f t="shared" si="3"/>
        <v>0</v>
      </c>
      <c r="O41" s="18">
        <f t="shared" si="4"/>
        <v>9.1</v>
      </c>
      <c r="P41" s="19">
        <f t="shared" si="5"/>
        <v>0</v>
      </c>
      <c r="Q41" s="32">
        <v>90</v>
      </c>
      <c r="R41" s="32" t="s">
        <v>22</v>
      </c>
      <c r="S41" s="33" t="s">
        <v>31</v>
      </c>
    </row>
    <row r="42" s="1" customFormat="1" ht="23" customHeight="1" spans="1:19">
      <c r="A42" s="14">
        <v>34</v>
      </c>
      <c r="B42" s="14" t="s">
        <v>58</v>
      </c>
      <c r="C42" s="16" t="s">
        <v>20</v>
      </c>
      <c r="D42" s="14" t="s">
        <v>21</v>
      </c>
      <c r="E42" s="17">
        <f t="shared" si="0"/>
        <v>4800</v>
      </c>
      <c r="F42" s="19"/>
      <c r="G42" s="19"/>
      <c r="H42" s="20">
        <f>48000000/10000</f>
        <v>4800</v>
      </c>
      <c r="I42" s="17">
        <f t="shared" si="1"/>
        <v>4800</v>
      </c>
      <c r="J42" s="19"/>
      <c r="K42" s="19"/>
      <c r="L42" s="20">
        <f>48000000/10000</f>
        <v>4800</v>
      </c>
      <c r="M42" s="18">
        <f t="shared" si="2"/>
        <v>0</v>
      </c>
      <c r="N42" s="18">
        <f t="shared" si="3"/>
        <v>0</v>
      </c>
      <c r="O42" s="18">
        <f t="shared" si="4"/>
        <v>0</v>
      </c>
      <c r="P42" s="19">
        <f t="shared" si="5"/>
        <v>0</v>
      </c>
      <c r="Q42" s="32">
        <v>99.69</v>
      </c>
      <c r="R42" s="32" t="s">
        <v>22</v>
      </c>
      <c r="S42" s="33" t="s">
        <v>59</v>
      </c>
    </row>
    <row r="43" s="1" customFormat="1" ht="23" customHeight="1" spans="1:19">
      <c r="A43" s="14">
        <v>35</v>
      </c>
      <c r="B43" s="14" t="s">
        <v>60</v>
      </c>
      <c r="C43" s="16" t="s">
        <v>20</v>
      </c>
      <c r="D43" s="14" t="s">
        <v>21</v>
      </c>
      <c r="E43" s="17">
        <f t="shared" si="0"/>
        <v>3700</v>
      </c>
      <c r="F43" s="19"/>
      <c r="G43" s="19"/>
      <c r="H43" s="20">
        <f>37000000/10000</f>
        <v>3700</v>
      </c>
      <c r="I43" s="17">
        <f t="shared" si="1"/>
        <v>2500</v>
      </c>
      <c r="J43" s="19"/>
      <c r="K43" s="19"/>
      <c r="L43" s="20">
        <f>25000000/10000</f>
        <v>2500</v>
      </c>
      <c r="M43" s="18">
        <f t="shared" si="2"/>
        <v>1200</v>
      </c>
      <c r="N43" s="18">
        <f t="shared" si="3"/>
        <v>0</v>
      </c>
      <c r="O43" s="18">
        <f t="shared" si="4"/>
        <v>0</v>
      </c>
      <c r="P43" s="18">
        <f t="shared" si="5"/>
        <v>1200</v>
      </c>
      <c r="Q43" s="32">
        <v>96.76</v>
      </c>
      <c r="R43" s="32" t="s">
        <v>22</v>
      </c>
      <c r="S43" s="33" t="s">
        <v>59</v>
      </c>
    </row>
    <row r="44" s="1" customFormat="1" ht="23" customHeight="1" spans="1:19">
      <c r="A44" s="14">
        <v>36</v>
      </c>
      <c r="B44" s="14" t="s">
        <v>61</v>
      </c>
      <c r="C44" s="16" t="s">
        <v>20</v>
      </c>
      <c r="D44" s="14" t="s">
        <v>21</v>
      </c>
      <c r="E44" s="17">
        <f t="shared" si="0"/>
        <v>12773.79</v>
      </c>
      <c r="F44" s="19"/>
      <c r="G44" s="19"/>
      <c r="H44" s="20">
        <f>127737900/10000</f>
        <v>12773.79</v>
      </c>
      <c r="I44" s="17">
        <f t="shared" si="1"/>
        <v>2618.75</v>
      </c>
      <c r="J44" s="19"/>
      <c r="K44" s="19"/>
      <c r="L44" s="20">
        <f>26187500/10000</f>
        <v>2618.75</v>
      </c>
      <c r="M44" s="18">
        <f t="shared" si="2"/>
        <v>10155.04</v>
      </c>
      <c r="N44" s="18">
        <f t="shared" si="3"/>
        <v>0</v>
      </c>
      <c r="O44" s="18">
        <f t="shared" si="4"/>
        <v>0</v>
      </c>
      <c r="P44" s="18">
        <f t="shared" si="5"/>
        <v>10155.04</v>
      </c>
      <c r="Q44" s="32">
        <v>83.45</v>
      </c>
      <c r="R44" s="34" t="s">
        <v>33</v>
      </c>
      <c r="S44" s="33" t="s">
        <v>59</v>
      </c>
    </row>
    <row r="45" s="1" customFormat="1" ht="23" customHeight="1" spans="1:19">
      <c r="A45" s="14">
        <v>37</v>
      </c>
      <c r="B45" s="14" t="s">
        <v>62</v>
      </c>
      <c r="C45" s="16" t="s">
        <v>20</v>
      </c>
      <c r="D45" s="14" t="s">
        <v>21</v>
      </c>
      <c r="E45" s="17">
        <f t="shared" si="0"/>
        <v>8</v>
      </c>
      <c r="F45" s="19"/>
      <c r="G45" s="19"/>
      <c r="H45" s="20">
        <f>80000/10000</f>
        <v>8</v>
      </c>
      <c r="I45" s="17">
        <f t="shared" si="1"/>
        <v>5.120167</v>
      </c>
      <c r="J45" s="19"/>
      <c r="K45" s="19"/>
      <c r="L45" s="20">
        <f>51201.67/10000</f>
        <v>5.120167</v>
      </c>
      <c r="M45" s="18">
        <f t="shared" si="2"/>
        <v>2.879833</v>
      </c>
      <c r="N45" s="18">
        <f t="shared" si="3"/>
        <v>0</v>
      </c>
      <c r="O45" s="18">
        <f t="shared" si="4"/>
        <v>0</v>
      </c>
      <c r="P45" s="18">
        <f t="shared" si="5"/>
        <v>2.879833</v>
      </c>
      <c r="Q45" s="32">
        <v>96.4</v>
      </c>
      <c r="R45" s="32" t="s">
        <v>22</v>
      </c>
      <c r="S45" s="33" t="s">
        <v>59</v>
      </c>
    </row>
    <row r="46" s="2" customFormat="1" ht="23" customHeight="1" spans="1:19">
      <c r="A46" s="21" t="s">
        <v>63</v>
      </c>
      <c r="B46" s="21"/>
      <c r="C46" s="21"/>
      <c r="D46" s="21"/>
      <c r="E46" s="22">
        <f>SUM(E9:E45)</f>
        <v>22192.795694</v>
      </c>
      <c r="F46" s="22">
        <f t="shared" ref="F46:P46" si="6">SUM(F9:F45)</f>
        <v>374.70691</v>
      </c>
      <c r="G46" s="22">
        <f t="shared" si="6"/>
        <v>536.298784</v>
      </c>
      <c r="H46" s="22">
        <f t="shared" si="6"/>
        <v>21281.79</v>
      </c>
      <c r="I46" s="22">
        <f t="shared" si="6"/>
        <v>10337.037164</v>
      </c>
      <c r="J46" s="22">
        <f t="shared" si="6"/>
        <v>328.725307</v>
      </c>
      <c r="K46" s="22">
        <f t="shared" si="6"/>
        <v>84.44169</v>
      </c>
      <c r="L46" s="22">
        <f t="shared" si="6"/>
        <v>9923.870167</v>
      </c>
      <c r="M46" s="22">
        <f t="shared" si="6"/>
        <v>11855.75853</v>
      </c>
      <c r="N46" s="22">
        <f t="shared" si="6"/>
        <v>45.981603</v>
      </c>
      <c r="O46" s="22">
        <f t="shared" si="6"/>
        <v>451.857094</v>
      </c>
      <c r="P46" s="22">
        <f t="shared" si="6"/>
        <v>11357.919833</v>
      </c>
      <c r="Q46" s="35"/>
      <c r="R46" s="36"/>
      <c r="S46" s="36"/>
    </row>
    <row r="47" s="1" customFormat="1" ht="23" customHeight="1" spans="1:19">
      <c r="A47" s="23" t="s">
        <v>64</v>
      </c>
      <c r="B47" s="23"/>
      <c r="C47" s="23"/>
      <c r="D47" s="23"/>
      <c r="E47" s="23"/>
      <c r="F47" s="23"/>
      <c r="G47" s="23"/>
      <c r="H47" s="23"/>
      <c r="I47" s="23"/>
      <c r="J47" s="23"/>
      <c r="K47" s="23"/>
      <c r="L47" s="23"/>
      <c r="M47" s="23"/>
      <c r="N47" s="23"/>
      <c r="O47" s="23"/>
      <c r="P47" s="23"/>
      <c r="Q47" s="3"/>
      <c r="R47" s="23"/>
      <c r="S47" s="23"/>
    </row>
    <row r="49" s="1" customFormat="1" ht="26" customHeight="1" spans="1:19">
      <c r="A49" s="23" t="s">
        <v>65</v>
      </c>
      <c r="B49" s="23"/>
      <c r="C49" s="23"/>
      <c r="D49" s="23"/>
      <c r="E49" s="23"/>
      <c r="F49" s="23"/>
      <c r="G49" s="23"/>
      <c r="H49" s="23"/>
      <c r="I49" s="23"/>
      <c r="J49" s="23"/>
      <c r="K49" s="23"/>
      <c r="L49" s="23"/>
      <c r="M49" s="23"/>
      <c r="N49" s="23"/>
      <c r="O49" s="23"/>
      <c r="P49" s="23"/>
      <c r="Q49" s="3"/>
      <c r="R49" s="23"/>
      <c r="S49" s="23"/>
    </row>
  </sheetData>
  <autoFilter ref="A8:S49">
    <extLst/>
  </autoFilter>
  <mergeCells count="32">
    <mergeCell ref="A1:B1"/>
    <mergeCell ref="A2:S2"/>
    <mergeCell ref="A4:S4"/>
    <mergeCell ref="A5:D5"/>
    <mergeCell ref="I5:O5"/>
    <mergeCell ref="P5:S5"/>
    <mergeCell ref="C6:D6"/>
    <mergeCell ref="E6:H6"/>
    <mergeCell ref="I6:L6"/>
    <mergeCell ref="M6:P6"/>
    <mergeCell ref="A46:D46"/>
    <mergeCell ref="A47:S47"/>
    <mergeCell ref="A49:S49"/>
    <mergeCell ref="A6:A8"/>
    <mergeCell ref="B6:B8"/>
    <mergeCell ref="C7:C8"/>
    <mergeCell ref="D7:D8"/>
    <mergeCell ref="E7:E8"/>
    <mergeCell ref="F7:F8"/>
    <mergeCell ref="G7:G8"/>
    <mergeCell ref="H7:H8"/>
    <mergeCell ref="I7:I8"/>
    <mergeCell ref="J7:J8"/>
    <mergeCell ref="K7:K8"/>
    <mergeCell ref="L7:L8"/>
    <mergeCell ref="M7:M8"/>
    <mergeCell ref="N7:N8"/>
    <mergeCell ref="O7:O8"/>
    <mergeCell ref="P7:P8"/>
    <mergeCell ref="Q6:Q8"/>
    <mergeCell ref="R6:R8"/>
    <mergeCell ref="S6:S8"/>
  </mergeCells>
  <printOptions horizontalCentered="1"/>
  <pageMargins left="0.314583333333333" right="0.354166666666667" top="0.511805555555556" bottom="0.550694444444444" header="0.550694444444444" footer="0.5"/>
  <pageSetup paperSize="9" scale="47"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昆明市五华区党政机关单位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2025-02-18T07:39:00Z</dcterms:created>
  <dcterms:modified xsi:type="dcterms:W3CDTF">2025-08-06T03:19:08Z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0E0E0A68C60A46CABAC6CC4DA5B5E04C_11</vt:lpwstr>
  </property>
  <property fmtid="{D5CDD505-2E9C-101B-9397-08002B2CF9AE}" pid="3" name="KSOProductBuildVer">
    <vt:lpwstr>2052-11.1.0.9662</vt:lpwstr>
  </property>
</Properties>
</file>